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A:\1 Projekte\1 aktuelle Projekte\22-049_Keltern Weiler Projektentwicklung\ABGABEN\Abgabe 1.Phase\"/>
    </mc:Choice>
  </mc:AlternateContent>
  <xr:revisionPtr revIDLastSave="0" documentId="13_ncr:1_{36FC301A-93FC-4B94-9B5A-82B6C96D7F2D}" xr6:coauthVersionLast="47" xr6:coauthVersionMax="47" xr10:uidLastSave="{00000000-0000-0000-0000-000000000000}"/>
  <bookViews>
    <workbookView xWindow="-120" yWindow="-120" windowWidth="38640" windowHeight="21120" xr2:uid="{D50300AC-41BA-478F-8BB2-55583D9C658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8" i="1" l="1"/>
  <c r="U46" i="1"/>
  <c r="U43" i="1"/>
  <c r="U39" i="1"/>
  <c r="U37" i="1"/>
  <c r="U36" i="1"/>
  <c r="T36" i="1"/>
  <c r="T39" i="1"/>
  <c r="T46" i="1"/>
  <c r="T48" i="1"/>
  <c r="N11" i="1"/>
  <c r="U14" i="1"/>
  <c r="U12" i="1"/>
  <c r="U9" i="1"/>
  <c r="T14" i="1"/>
  <c r="T12" i="1"/>
  <c r="T16" i="1"/>
  <c r="U16" i="1" s="1"/>
  <c r="T9" i="1"/>
  <c r="T10" i="1"/>
  <c r="U10" i="1" s="1"/>
  <c r="H22" i="1"/>
  <c r="H23" i="1"/>
  <c r="F40" i="1"/>
  <c r="F41" i="1"/>
  <c r="F39" i="1"/>
  <c r="E43" i="1"/>
  <c r="N39" i="1" s="1"/>
  <c r="G27" i="1"/>
  <c r="E29" i="1"/>
  <c r="G29" i="1" s="1"/>
  <c r="E28" i="1"/>
  <c r="G28" i="1" s="1"/>
  <c r="G22" i="1"/>
  <c r="G23" i="1"/>
  <c r="F22" i="1"/>
  <c r="F23" i="1"/>
  <c r="N36" i="1"/>
  <c r="O36" i="1" s="1"/>
  <c r="H43" i="1"/>
  <c r="N38" i="1" s="1"/>
  <c r="H19" i="1"/>
  <c r="H15" i="1"/>
  <c r="H10" i="1"/>
  <c r="F37" i="1"/>
  <c r="F36" i="1"/>
  <c r="G19" i="1"/>
  <c r="G18" i="1"/>
  <c r="G15" i="1"/>
  <c r="G13" i="1"/>
  <c r="G12" i="1"/>
  <c r="G10" i="1"/>
  <c r="G9" i="1"/>
  <c r="K16" i="1"/>
  <c r="K13" i="1"/>
  <c r="K19" i="1"/>
  <c r="K18" i="1"/>
  <c r="K15" i="1"/>
  <c r="K12" i="1"/>
  <c r="K10" i="1"/>
  <c r="K9" i="1"/>
  <c r="J10" i="1"/>
  <c r="J9" i="1"/>
  <c r="J19" i="1"/>
  <c r="J18" i="1"/>
  <c r="J16" i="1"/>
  <c r="J15" i="1"/>
  <c r="J12" i="1"/>
  <c r="J13" i="1"/>
  <c r="G37" i="1"/>
  <c r="G36" i="1"/>
  <c r="F43" i="1" l="1"/>
  <c r="N41" i="1" s="1"/>
  <c r="E30" i="1"/>
  <c r="G30" i="1" s="1"/>
  <c r="N37" i="1"/>
  <c r="O37" i="1" s="1"/>
  <c r="J25" i="1"/>
  <c r="G43" i="1"/>
  <c r="N40" i="1" s="1"/>
  <c r="K25" i="1"/>
  <c r="G16" i="1"/>
  <c r="I25" i="1"/>
  <c r="F12" i="1"/>
  <c r="F13" i="1"/>
  <c r="F15" i="1"/>
  <c r="F16" i="1"/>
  <c r="F18" i="1"/>
  <c r="F19" i="1"/>
  <c r="F10" i="1"/>
  <c r="F9" i="1"/>
  <c r="E21" i="1"/>
  <c r="H21" i="1" l="1"/>
  <c r="H25" i="1" s="1"/>
  <c r="N12" i="1" s="1"/>
  <c r="E25" i="1"/>
  <c r="G21" i="1"/>
  <c r="G32" i="1" s="1"/>
  <c r="F21" i="1"/>
  <c r="F25" i="1" s="1"/>
  <c r="E32" i="1" l="1"/>
  <c r="T19" i="1"/>
  <c r="G25" i="1"/>
  <c r="N16" i="1" s="1"/>
  <c r="N19" i="1"/>
  <c r="N15" i="1"/>
  <c r="N14" i="1"/>
  <c r="N18" i="1"/>
  <c r="U19" i="1" l="1"/>
  <c r="U21" i="1" s="1"/>
  <c r="T21" i="1"/>
  <c r="N10" i="1"/>
  <c r="O10" i="1" s="1"/>
  <c r="O11" i="1"/>
</calcChain>
</file>

<file path=xl/sharedStrings.xml><?xml version="1.0" encoding="utf-8"?>
<sst xmlns="http://schemas.openxmlformats.org/spreadsheetml/2006/main" count="167" uniqueCount="75">
  <si>
    <t>Baukörper</t>
  </si>
  <si>
    <t>GF pro Körper</t>
  </si>
  <si>
    <t>GRZ soll</t>
  </si>
  <si>
    <t>GRZ ist</t>
  </si>
  <si>
    <t>GFZ ist</t>
  </si>
  <si>
    <t>GFZ soll</t>
  </si>
  <si>
    <t>WE</t>
  </si>
  <si>
    <t>BRI</t>
  </si>
  <si>
    <t>TOTAL</t>
  </si>
  <si>
    <t>Grundfläche</t>
  </si>
  <si>
    <t>A</t>
  </si>
  <si>
    <t>B</t>
  </si>
  <si>
    <t>Raum por Körper</t>
  </si>
  <si>
    <t>2,0 Stlpl.</t>
  </si>
  <si>
    <t>1,5 Stlpl.</t>
  </si>
  <si>
    <t>Hauptgeb.</t>
  </si>
  <si>
    <t>Kiosk</t>
  </si>
  <si>
    <t>C</t>
  </si>
  <si>
    <t>D</t>
  </si>
  <si>
    <t>E</t>
  </si>
  <si>
    <t>F</t>
  </si>
  <si>
    <t>DHH 1-2</t>
  </si>
  <si>
    <t>DHH 3-4</t>
  </si>
  <si>
    <t>Grundfläche in m2</t>
  </si>
  <si>
    <t>GF pro Körper in m2</t>
  </si>
  <si>
    <t>GRZ  mit TG</t>
  </si>
  <si>
    <t>Grünfläche</t>
  </si>
  <si>
    <t>Dachfläche</t>
  </si>
  <si>
    <t>Traufhöhe in m</t>
  </si>
  <si>
    <t>Firsthöhe in m</t>
  </si>
  <si>
    <t>Grundstücksfläche</t>
  </si>
  <si>
    <t>Befestigte Fläche</t>
  </si>
  <si>
    <t>%</t>
  </si>
  <si>
    <t>BRI mit TG</t>
  </si>
  <si>
    <t>Vollge-schosse</t>
  </si>
  <si>
    <t>Grundstücksfläche m2</t>
  </si>
  <si>
    <t>Grünfläche m2</t>
  </si>
  <si>
    <t>Befestigte Fläche m2</t>
  </si>
  <si>
    <t>Dachfläche m2</t>
  </si>
  <si>
    <t>Dachfläche in m2</t>
  </si>
  <si>
    <r>
      <t xml:space="preserve">lennermann krämer </t>
    </r>
    <r>
      <rPr>
        <b/>
        <sz val="12"/>
        <rFont val="Frutiger LT Std 47 Light Cn"/>
        <family val="2"/>
      </rPr>
      <t>architekten</t>
    </r>
    <r>
      <rPr>
        <sz val="12"/>
        <rFont val="Frutiger LT Std 47 Light Cn"/>
        <family val="2"/>
      </rPr>
      <t xml:space="preserve"> PartGmbB</t>
    </r>
  </si>
  <si>
    <t xml:space="preserve">Kaiserstraße 167 | 76133 Karlsruhe | Fon: +49 721 66 99 88 30 | Fax: +49 721 66 99 88 30 | www.lka-ka.de </t>
  </si>
  <si>
    <t xml:space="preserve">Projekt: </t>
  </si>
  <si>
    <t>Adresse:</t>
  </si>
  <si>
    <t>22-049</t>
  </si>
  <si>
    <t>Projektentwicklung Hauptstraße 22 und 24 in Keltern-Weiler</t>
  </si>
  <si>
    <t>Berechnungen Wohnquartier Hauptraße 22 (ehem. Bauer-Walser-Areal)</t>
  </si>
  <si>
    <t>Berechnungen Öffentlicher Platz Hauptraße 24 (ehem. Bahnhofsgaststätte Areal)</t>
  </si>
  <si>
    <t>Stlpl.</t>
  </si>
  <si>
    <t>Raum pro Körper in m3</t>
  </si>
  <si>
    <t>-</t>
  </si>
  <si>
    <t>Treppenhaus AB</t>
  </si>
  <si>
    <t>Treppenhaus CD</t>
  </si>
  <si>
    <t>Treppenhaus EF</t>
  </si>
  <si>
    <t>BRI m3</t>
  </si>
  <si>
    <t>Kellerräume</t>
  </si>
  <si>
    <t>Technik</t>
  </si>
  <si>
    <t>Gesammte UG</t>
  </si>
  <si>
    <r>
      <t xml:space="preserve">Tiefgarage </t>
    </r>
    <r>
      <rPr>
        <sz val="9"/>
        <color theme="1"/>
        <rFont val="Frutiger LT 47 LightCn"/>
      </rPr>
      <t>Stellplatzschlüßel 2,0</t>
    </r>
  </si>
  <si>
    <t>TOTAL MIT UG</t>
  </si>
  <si>
    <t>Tiefgrage</t>
  </si>
  <si>
    <t>Fläche</t>
  </si>
  <si>
    <t xml:space="preserve">Rasen </t>
  </si>
  <si>
    <t>Rassengitter</t>
  </si>
  <si>
    <t>Wassergebundene</t>
  </si>
  <si>
    <t>Bodenpflaster</t>
  </si>
  <si>
    <t>Dachbegrünung</t>
  </si>
  <si>
    <t>Vollversiegelt</t>
  </si>
  <si>
    <t>Grün</t>
  </si>
  <si>
    <t>Stark versiegelt</t>
  </si>
  <si>
    <t>leicht versiegelt</t>
  </si>
  <si>
    <t>Rindenmulch /</t>
  </si>
  <si>
    <t>Total</t>
  </si>
  <si>
    <t xml:space="preserve">Überbautefläche </t>
  </si>
  <si>
    <t>ohne Gründach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</si>
</sst>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&quot; €&quot;_-;\-* #,##0.00&quot; €&quot;_-;_-* \-??&quot; €&quot;_-;_-@_-"/>
  </numFmts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etica-Narrow"/>
    </font>
    <font>
      <sz val="10"/>
      <name val="Helvetica-Narrow"/>
      <family val="2"/>
    </font>
    <font>
      <sz val="10"/>
      <name val="Arial"/>
      <family val="2"/>
    </font>
    <font>
      <sz val="12"/>
      <name val="Courier New"/>
      <family val="3"/>
    </font>
    <font>
      <sz val="10"/>
      <name val="Helv"/>
    </font>
    <font>
      <b/>
      <sz val="10"/>
      <name val="Frutiger LT 47 LightCn"/>
    </font>
    <font>
      <b/>
      <sz val="8"/>
      <name val="Frutiger LT 47 LightCn"/>
    </font>
    <font>
      <b/>
      <sz val="8"/>
      <color indexed="10"/>
      <name val="Frutiger LT 47 LightCn"/>
    </font>
    <font>
      <sz val="11"/>
      <name val="Frutiger LT Std 47 Light Cn"/>
      <family val="2"/>
    </font>
    <font>
      <sz val="11"/>
      <name val="Frutiger LT 47 LightCn"/>
    </font>
    <font>
      <sz val="12"/>
      <name val="Frutiger LT Std 47 Light Cn"/>
      <family val="2"/>
    </font>
    <font>
      <b/>
      <sz val="12"/>
      <name val="Frutiger LT Std 47 Light Cn"/>
      <family val="2"/>
    </font>
    <font>
      <b/>
      <sz val="11"/>
      <name val="Frutiger LT 47 LightCn"/>
    </font>
    <font>
      <sz val="11"/>
      <color theme="1"/>
      <name val="Frutiger LT 47 LightCn"/>
    </font>
    <font>
      <b/>
      <sz val="11"/>
      <color theme="1"/>
      <name val="Frutiger LT 47 LightCn"/>
    </font>
    <font>
      <b/>
      <sz val="12"/>
      <color theme="1"/>
      <name val="Frutiger LT 47 LightCn"/>
    </font>
    <font>
      <b/>
      <sz val="14"/>
      <color theme="1"/>
      <name val="Frutiger LT 47 LightCn"/>
    </font>
    <font>
      <sz val="12"/>
      <name val="Frutiger LT 47 LightCn"/>
    </font>
    <font>
      <b/>
      <sz val="12"/>
      <name val="Frutiger LT 47 LightCn"/>
    </font>
    <font>
      <b/>
      <sz val="12"/>
      <color indexed="10"/>
      <name val="Frutiger LT 47 LightCn"/>
    </font>
    <font>
      <sz val="12"/>
      <color theme="1"/>
      <name val="Frutiger LT 47 LightCn"/>
    </font>
    <font>
      <sz val="9"/>
      <color theme="1"/>
      <name val="Frutiger LT 47 LightCn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2" tint="-0.249977111117893"/>
      </right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44" fontId="5" fillId="0" borderId="0" applyFont="0" applyFill="0" applyBorder="0" applyAlignment="0" applyProtection="0"/>
    <xf numFmtId="0" fontId="6" fillId="0" borderId="0"/>
    <xf numFmtId="9" fontId="7" fillId="0" borderId="0" applyFont="0" applyFill="0" applyBorder="0" applyAlignment="0" applyProtection="0"/>
    <xf numFmtId="0" fontId="4" fillId="0" borderId="0"/>
    <xf numFmtId="4" fontId="7" fillId="0" borderId="0" applyFont="0" applyFill="0" applyBorder="0" applyAlignment="0" applyProtection="0"/>
    <xf numFmtId="0" fontId="2" fillId="0" borderId="0"/>
    <xf numFmtId="0" fontId="5" fillId="0" borderId="0"/>
    <xf numFmtId="9" fontId="5" fillId="0" borderId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2" fontId="0" fillId="0" borderId="0" xfId="0" applyNumberFormat="1"/>
    <xf numFmtId="0" fontId="3" fillId="0" borderId="0" xfId="1"/>
    <xf numFmtId="0" fontId="8" fillId="0" borderId="0" xfId="5" applyFont="1"/>
    <xf numFmtId="0" fontId="9" fillId="0" borderId="0" xfId="5" applyFont="1"/>
    <xf numFmtId="0" fontId="10" fillId="0" borderId="0" xfId="5" applyFont="1"/>
    <xf numFmtId="0" fontId="11" fillId="0" borderId="0" xfId="1" applyFont="1" applyAlignment="1">
      <alignment vertical="top"/>
    </xf>
    <xf numFmtId="0" fontId="13" fillId="0" borderId="0" xfId="1" applyFont="1" applyAlignment="1">
      <alignment vertical="top"/>
    </xf>
    <xf numFmtId="0" fontId="12" fillId="0" borderId="0" xfId="5" applyFont="1" applyAlignment="1">
      <alignment horizontal="left"/>
    </xf>
    <xf numFmtId="0" fontId="12" fillId="0" borderId="0" xfId="5" applyFont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/>
    </xf>
    <xf numFmtId="0" fontId="16" fillId="2" borderId="0" xfId="0" applyFont="1" applyFill="1"/>
    <xf numFmtId="0" fontId="16" fillId="2" borderId="0" xfId="0" applyFont="1" applyFill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right"/>
    </xf>
    <xf numFmtId="0" fontId="19" fillId="0" borderId="0" xfId="0" applyFont="1" applyAlignment="1">
      <alignment vertical="center"/>
    </xf>
    <xf numFmtId="0" fontId="20" fillId="0" borderId="0" xfId="5" applyFont="1" applyAlignment="1">
      <alignment horizontal="left"/>
    </xf>
    <xf numFmtId="0" fontId="21" fillId="0" borderId="0" xfId="5" applyFont="1"/>
    <xf numFmtId="0" fontId="22" fillId="0" borderId="0" xfId="5" applyFont="1"/>
    <xf numFmtId="0" fontId="20" fillId="0" borderId="0" xfId="5" applyFont="1"/>
    <xf numFmtId="0" fontId="23" fillId="0" borderId="0" xfId="0" applyFont="1"/>
    <xf numFmtId="0" fontId="16" fillId="3" borderId="0" xfId="0" applyFont="1" applyFill="1" applyAlignment="1">
      <alignment horizontal="center"/>
    </xf>
    <xf numFmtId="0" fontId="16" fillId="3" borderId="0" xfId="0" applyFont="1" applyFill="1"/>
    <xf numFmtId="0" fontId="16" fillId="4" borderId="0" xfId="0" applyFont="1" applyFill="1" applyAlignment="1">
      <alignment horizontal="center"/>
    </xf>
    <xf numFmtId="0" fontId="18" fillId="4" borderId="1" xfId="0" applyFont="1" applyFill="1" applyBorder="1"/>
    <xf numFmtId="0" fontId="17" fillId="4" borderId="2" xfId="0" applyFont="1" applyFill="1" applyBorder="1" applyAlignment="1">
      <alignment vertical="center" wrapText="1"/>
    </xf>
    <xf numFmtId="0" fontId="17" fillId="4" borderId="2" xfId="0" applyFont="1" applyFill="1" applyBorder="1"/>
    <xf numFmtId="0" fontId="16" fillId="4" borderId="0" xfId="0" applyFont="1" applyFill="1" applyAlignment="1">
      <alignment horizontal="center" vertical="center"/>
    </xf>
    <xf numFmtId="0" fontId="16" fillId="4" borderId="0" xfId="0" applyFont="1" applyFill="1"/>
    <xf numFmtId="2" fontId="17" fillId="4" borderId="0" xfId="0" applyNumberFormat="1" applyFont="1" applyFill="1" applyAlignment="1">
      <alignment horizontal="center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1" fontId="16" fillId="2" borderId="0" xfId="0" applyNumberFormat="1" applyFont="1" applyFill="1"/>
    <xf numFmtId="2" fontId="17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left"/>
    </xf>
    <xf numFmtId="2" fontId="15" fillId="3" borderId="0" xfId="0" applyNumberFormat="1" applyFont="1" applyFill="1" applyAlignment="1">
      <alignment horizontal="center" vertical="center"/>
    </xf>
    <xf numFmtId="0" fontId="17" fillId="2" borderId="2" xfId="0" applyFont="1" applyFill="1" applyBorder="1" applyAlignment="1">
      <alignment vertical="center" wrapText="1"/>
    </xf>
    <xf numFmtId="0" fontId="16" fillId="2" borderId="2" xfId="0" applyFont="1" applyFill="1" applyBorder="1"/>
    <xf numFmtId="0" fontId="17" fillId="2" borderId="2" xfId="0" applyFont="1" applyFill="1" applyBorder="1"/>
    <xf numFmtId="0" fontId="16" fillId="3" borderId="2" xfId="0" applyFont="1" applyFill="1" applyBorder="1"/>
    <xf numFmtId="0" fontId="15" fillId="3" borderId="2" xfId="0" applyFont="1" applyFill="1" applyBorder="1"/>
    <xf numFmtId="0" fontId="17" fillId="3" borderId="2" xfId="0" applyFont="1" applyFill="1" applyBorder="1"/>
    <xf numFmtId="0" fontId="17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2" fontId="17" fillId="4" borderId="1" xfId="0" applyNumberFormat="1" applyFont="1" applyFill="1" applyBorder="1" applyAlignment="1">
      <alignment horizontal="center"/>
    </xf>
    <xf numFmtId="0" fontId="17" fillId="4" borderId="1" xfId="0" applyFont="1" applyFill="1" applyBorder="1"/>
    <xf numFmtId="0" fontId="16" fillId="2" borderId="0" xfId="0" applyFont="1" applyFill="1" applyAlignment="1">
      <alignment horizontal="left" vertical="center"/>
    </xf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/>
    <xf numFmtId="0" fontId="17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1" xfId="0" applyFont="1" applyFill="1" applyBorder="1"/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1" fontId="17" fillId="2" borderId="0" xfId="0" applyNumberFormat="1" applyFont="1" applyFill="1" applyAlignment="1">
      <alignment horizontal="center" vertical="center"/>
    </xf>
    <xf numFmtId="1" fontId="17" fillId="3" borderId="0" xfId="0" applyNumberFormat="1" applyFont="1" applyFill="1" applyAlignment="1">
      <alignment horizontal="center"/>
    </xf>
    <xf numFmtId="0" fontId="0" fillId="3" borderId="0" xfId="0" applyFill="1"/>
    <xf numFmtId="0" fontId="16" fillId="3" borderId="0" xfId="0" applyFont="1" applyFill="1" applyAlignment="1">
      <alignment horizontal="center" vertical="top" wrapText="1"/>
    </xf>
    <xf numFmtId="0" fontId="0" fillId="4" borderId="0" xfId="0" applyFill="1"/>
    <xf numFmtId="0" fontId="16" fillId="3" borderId="3" xfId="0" applyFont="1" applyFill="1" applyBorder="1"/>
    <xf numFmtId="0" fontId="0" fillId="4" borderId="3" xfId="0" applyFill="1" applyBorder="1"/>
    <xf numFmtId="1" fontId="16" fillId="4" borderId="0" xfId="0" applyNumberFormat="1" applyFont="1" applyFill="1"/>
    <xf numFmtId="0" fontId="0" fillId="2" borderId="0" xfId="0" applyFill="1"/>
    <xf numFmtId="0" fontId="17" fillId="2" borderId="4" xfId="0" applyFont="1" applyFill="1" applyBorder="1" applyAlignment="1">
      <alignment vertical="center" wrapText="1"/>
    </xf>
    <xf numFmtId="0" fontId="17" fillId="2" borderId="4" xfId="0" applyFont="1" applyFill="1" applyBorder="1"/>
    <xf numFmtId="0" fontId="0" fillId="2" borderId="4" xfId="0" applyFill="1" applyBorder="1"/>
    <xf numFmtId="1" fontId="0" fillId="2" borderId="0" xfId="0" applyNumberFormat="1" applyFill="1"/>
    <xf numFmtId="0" fontId="17" fillId="4" borderId="4" xfId="0" applyFont="1" applyFill="1" applyBorder="1" applyAlignment="1">
      <alignment vertical="center" wrapText="1"/>
    </xf>
    <xf numFmtId="0" fontId="17" fillId="4" borderId="4" xfId="0" applyFont="1" applyFill="1" applyBorder="1"/>
    <xf numFmtId="0" fontId="0" fillId="4" borderId="4" xfId="0" applyFill="1" applyBorder="1"/>
    <xf numFmtId="0" fontId="0" fillId="4" borderId="0" xfId="0" applyFill="1" applyAlignment="1">
      <alignment vertical="center"/>
    </xf>
    <xf numFmtId="0" fontId="16" fillId="2" borderId="0" xfId="0" applyFont="1" applyFill="1" applyAlignment="1">
      <alignment horizontal="right" vertical="center"/>
    </xf>
    <xf numFmtId="0" fontId="0" fillId="4" borderId="0" xfId="0" applyFill="1" applyAlignment="1">
      <alignment horizontal="center" vertical="center"/>
    </xf>
    <xf numFmtId="1" fontId="0" fillId="4" borderId="0" xfId="0" applyNumberFormat="1" applyFill="1" applyAlignment="1">
      <alignment vertical="center"/>
    </xf>
    <xf numFmtId="1" fontId="0" fillId="4" borderId="0" xfId="0" applyNumberFormat="1" applyFill="1" applyAlignment="1">
      <alignment horizontal="center" vertical="center"/>
    </xf>
  </cellXfs>
  <cellStyles count="12">
    <cellStyle name="Dezimal 2" xfId="6" xr:uid="{F9F09F3A-9063-46B8-8499-BC42E1AF4F9F}"/>
    <cellStyle name="Euro" xfId="2" xr:uid="{482849E8-CAA8-4626-97FD-730D8A0E91B7}"/>
    <cellStyle name="Euro 2" xfId="11" xr:uid="{A2CB3FBC-36B9-4F7F-AA53-3FFD0B73984D}"/>
    <cellStyle name="Euro_BV Seidel Jöhlingen Kostenberechnung" xfId="10" xr:uid="{676A03CC-1B3A-4699-BE43-AF124CDA664A}"/>
    <cellStyle name="Prozent 2" xfId="4" xr:uid="{FD519224-5FEE-4E95-A7FB-340D2DE596E3}"/>
    <cellStyle name="Prozent 3" xfId="9" xr:uid="{FCD99CED-7791-42CF-9073-9CBED3FC3CC1}"/>
    <cellStyle name="Standard" xfId="0" builtinId="0"/>
    <cellStyle name="Standard 2" xfId="3" xr:uid="{9BF7736E-A452-48B2-AC5C-D18CF324F344}"/>
    <cellStyle name="Standard 3" xfId="5" xr:uid="{BD661D08-CBAF-4116-BFBB-28398B249135}"/>
    <cellStyle name="Standard 4" xfId="7" xr:uid="{388FD1FA-D0F1-4CA3-8BB4-07063E831F0D}"/>
    <cellStyle name="Standard 5" xfId="8" xr:uid="{CB96E262-B2A2-405A-A6A7-28FC0EB70645}"/>
    <cellStyle name="Standard 6" xfId="1" xr:uid="{70756A9D-49DD-4D69-865C-372A50307A4A}"/>
  </cellStyles>
  <dxfs count="0"/>
  <tableStyles count="0" defaultTableStyle="TableStyleMedium2" defaultPivotStyle="PivotStyleLight16"/>
  <colors>
    <mruColors>
      <color rgb="FFFFF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44F45-6201-4BCC-9D2F-008A4D3AD5CB}">
  <dimension ref="A1:V54"/>
  <sheetViews>
    <sheetView tabSelected="1" topLeftCell="A4" workbookViewId="0">
      <selection activeCell="Z26" sqref="Z26"/>
    </sheetView>
  </sheetViews>
  <sheetFormatPr baseColWidth="10" defaultRowHeight="15"/>
  <cols>
    <col min="1" max="1" width="17.5703125" customWidth="1"/>
    <col min="2" max="2" width="7.5703125" customWidth="1"/>
    <col min="3" max="3" width="10.28515625" customWidth="1"/>
    <col min="4" max="4" width="9.7109375" customWidth="1"/>
    <col min="5" max="5" width="12.7109375" customWidth="1"/>
    <col min="6" max="6" width="13.28515625" customWidth="1"/>
    <col min="7" max="7" width="15.7109375" customWidth="1"/>
    <col min="8" max="8" width="10.7109375" customWidth="1"/>
    <col min="9" max="9" width="7.42578125" customWidth="1"/>
    <col min="10" max="11" width="8.7109375" customWidth="1"/>
    <col min="12" max="12" width="6.42578125" customWidth="1"/>
    <col min="13" max="13" width="20.28515625" customWidth="1"/>
    <col min="14" max="14" width="8.85546875" customWidth="1"/>
    <col min="15" max="15" width="7.140625" customWidth="1"/>
    <col min="16" max="16" width="4.5703125" customWidth="1"/>
    <col min="17" max="17" width="10.5703125" customWidth="1"/>
    <col min="18" max="18" width="15.42578125" customWidth="1"/>
    <col min="19" max="19" width="22.140625" customWidth="1"/>
  </cols>
  <sheetData>
    <row r="1" spans="1:22" ht="15.75">
      <c r="A1" s="9" t="s">
        <v>40</v>
      </c>
      <c r="B1" s="4"/>
      <c r="C1" s="4"/>
      <c r="D1" s="4"/>
      <c r="E1" s="4"/>
      <c r="F1" s="4"/>
      <c r="G1" s="4"/>
      <c r="H1" s="4"/>
    </row>
    <row r="2" spans="1:22">
      <c r="A2" s="8" t="s">
        <v>41</v>
      </c>
      <c r="B2" s="4"/>
      <c r="C2" s="4"/>
      <c r="D2" s="4"/>
      <c r="E2" s="4"/>
      <c r="F2" s="4"/>
      <c r="G2" s="4"/>
      <c r="H2" s="4"/>
    </row>
    <row r="3" spans="1:22" ht="10.5" customHeight="1">
      <c r="A3" s="9"/>
      <c r="B3" s="4"/>
      <c r="C3" s="4"/>
      <c r="D3" s="4"/>
      <c r="E3" s="4"/>
      <c r="F3" s="4"/>
      <c r="G3" s="4"/>
      <c r="H3" s="4"/>
    </row>
    <row r="4" spans="1:22" ht="15.75">
      <c r="A4" s="5"/>
      <c r="B4" s="21" t="s">
        <v>42</v>
      </c>
      <c r="C4" s="25" t="s">
        <v>44</v>
      </c>
      <c r="D4" s="22"/>
      <c r="E4" s="23"/>
      <c r="F4" s="23"/>
      <c r="G4" s="22"/>
      <c r="H4" s="6"/>
    </row>
    <row r="5" spans="1:22" ht="15.75">
      <c r="A5" s="5"/>
      <c r="B5" s="21" t="s">
        <v>43</v>
      </c>
      <c r="C5" s="25" t="s">
        <v>45</v>
      </c>
      <c r="D5" s="24"/>
      <c r="E5" s="23"/>
      <c r="F5" s="23"/>
      <c r="G5" s="22"/>
      <c r="H5" s="6"/>
    </row>
    <row r="6" spans="1:22">
      <c r="A6" s="5"/>
      <c r="B6" s="10"/>
      <c r="D6" s="11"/>
      <c r="E6" s="7"/>
      <c r="F6" s="7"/>
      <c r="G6" s="6"/>
      <c r="H6" s="6"/>
    </row>
    <row r="7" spans="1:22" ht="28.5" customHeight="1">
      <c r="A7" s="20" t="s">
        <v>46</v>
      </c>
      <c r="B7" s="20"/>
      <c r="C7" s="20"/>
      <c r="D7" s="20"/>
      <c r="E7" s="20"/>
      <c r="F7" s="20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t="s">
        <v>61</v>
      </c>
    </row>
    <row r="8" spans="1:22" ht="45">
      <c r="A8" s="59" t="s">
        <v>0</v>
      </c>
      <c r="B8" s="60" t="s">
        <v>34</v>
      </c>
      <c r="C8" s="60" t="s">
        <v>28</v>
      </c>
      <c r="D8" s="60" t="s">
        <v>29</v>
      </c>
      <c r="E8" s="60" t="s">
        <v>23</v>
      </c>
      <c r="F8" s="60" t="s">
        <v>24</v>
      </c>
      <c r="G8" s="60" t="s">
        <v>49</v>
      </c>
      <c r="H8" s="60" t="s">
        <v>39</v>
      </c>
      <c r="I8" s="59" t="s">
        <v>6</v>
      </c>
      <c r="J8" s="59" t="s">
        <v>13</v>
      </c>
      <c r="K8" s="59" t="s">
        <v>14</v>
      </c>
      <c r="L8" s="12"/>
      <c r="M8" s="41" t="s">
        <v>35</v>
      </c>
      <c r="N8" s="35">
        <v>4946.97</v>
      </c>
      <c r="O8" s="36">
        <v>100</v>
      </c>
      <c r="P8" s="51" t="s">
        <v>32</v>
      </c>
      <c r="Q8" s="12"/>
      <c r="R8" s="12"/>
      <c r="S8" s="70" t="s">
        <v>35</v>
      </c>
      <c r="T8" s="78">
        <v>4946.97</v>
      </c>
      <c r="U8" s="36">
        <v>100</v>
      </c>
      <c r="V8" s="51" t="s">
        <v>32</v>
      </c>
    </row>
    <row r="9" spans="1:22">
      <c r="A9" s="17" t="s">
        <v>10</v>
      </c>
      <c r="B9" s="13">
        <v>3</v>
      </c>
      <c r="C9" s="13">
        <v>7.59</v>
      </c>
      <c r="D9" s="13">
        <v>11.8</v>
      </c>
      <c r="E9" s="14">
        <v>204</v>
      </c>
      <c r="F9" s="13">
        <f>E9*B9</f>
        <v>612</v>
      </c>
      <c r="G9" s="14">
        <f>E9*10.5</f>
        <v>2142</v>
      </c>
      <c r="H9" s="13">
        <v>249</v>
      </c>
      <c r="I9" s="13">
        <v>5</v>
      </c>
      <c r="J9" s="13">
        <f>I9*2</f>
        <v>10</v>
      </c>
      <c r="K9" s="13">
        <f>I9*1.5</f>
        <v>7.5</v>
      </c>
      <c r="L9" s="12"/>
      <c r="M9" s="42"/>
      <c r="N9" s="16"/>
      <c r="O9" s="16"/>
      <c r="P9" s="39"/>
      <c r="Q9" s="12"/>
      <c r="R9" s="12" t="s">
        <v>68</v>
      </c>
      <c r="S9" s="71" t="s">
        <v>62</v>
      </c>
      <c r="T9" s="16">
        <f>380+85+497+523+148+32+31+66+36+10</f>
        <v>1808</v>
      </c>
      <c r="U9" s="37">
        <f>T9/T8*100</f>
        <v>36.547624101217515</v>
      </c>
      <c r="V9" s="39" t="s">
        <v>32</v>
      </c>
    </row>
    <row r="10" spans="1:22">
      <c r="A10" s="17" t="s">
        <v>11</v>
      </c>
      <c r="B10" s="13">
        <v>3</v>
      </c>
      <c r="C10" s="13">
        <v>8.67</v>
      </c>
      <c r="D10" s="13">
        <v>12.62</v>
      </c>
      <c r="E10" s="14">
        <v>270</v>
      </c>
      <c r="F10" s="13">
        <f>E10*B10</f>
        <v>810</v>
      </c>
      <c r="G10" s="14">
        <f>E10*9.5</f>
        <v>2565</v>
      </c>
      <c r="H10" s="13">
        <f>176.63+114.75</f>
        <v>291.38</v>
      </c>
      <c r="I10" s="13">
        <v>9</v>
      </c>
      <c r="J10" s="13">
        <f>I10*2</f>
        <v>18</v>
      </c>
      <c r="K10" s="13">
        <f>I10*1.5</f>
        <v>13.5</v>
      </c>
      <c r="L10" s="12"/>
      <c r="M10" s="43" t="s">
        <v>36</v>
      </c>
      <c r="N10" s="16">
        <f>N8-N11</f>
        <v>1808.7700000000004</v>
      </c>
      <c r="O10" s="37">
        <f>N10*100/N8</f>
        <v>36.563189184490717</v>
      </c>
      <c r="P10" s="39" t="s">
        <v>32</v>
      </c>
      <c r="Q10" s="12"/>
      <c r="R10" s="12"/>
      <c r="S10" s="71" t="s">
        <v>66</v>
      </c>
      <c r="T10" s="16">
        <f>124+124+90+135+153+80</f>
        <v>706</v>
      </c>
      <c r="U10" s="37">
        <f>T10/T8*100</f>
        <v>14.271362066072768</v>
      </c>
      <c r="V10" s="39" t="s">
        <v>32</v>
      </c>
    </row>
    <row r="11" spans="1:22" ht="15" customHeight="1">
      <c r="A11" s="17"/>
      <c r="B11" s="13"/>
      <c r="C11" s="13"/>
      <c r="D11" s="13"/>
      <c r="E11" s="14"/>
      <c r="F11" s="13"/>
      <c r="G11" s="14"/>
      <c r="H11" s="13"/>
      <c r="I11" s="13"/>
      <c r="J11" s="13"/>
      <c r="K11" s="13"/>
      <c r="L11" s="12"/>
      <c r="M11" s="43" t="s">
        <v>37</v>
      </c>
      <c r="N11" s="37">
        <f>T12+T14+T16+T19+T10</f>
        <v>3138.2</v>
      </c>
      <c r="O11" s="37">
        <f>N11*100/N8</f>
        <v>63.43681081550929</v>
      </c>
      <c r="P11" s="39" t="s">
        <v>32</v>
      </c>
      <c r="Q11" s="12"/>
      <c r="R11" s="12"/>
      <c r="S11" s="72"/>
      <c r="T11" s="16"/>
      <c r="U11" s="37"/>
      <c r="V11" s="39"/>
    </row>
    <row r="12" spans="1:22">
      <c r="A12" s="17" t="s">
        <v>17</v>
      </c>
      <c r="B12" s="13">
        <v>2</v>
      </c>
      <c r="C12" s="15">
        <v>5.7</v>
      </c>
      <c r="D12" s="15">
        <v>9.5</v>
      </c>
      <c r="E12" s="14">
        <v>270</v>
      </c>
      <c r="F12" s="13">
        <f>E12*B12</f>
        <v>540</v>
      </c>
      <c r="G12" s="14">
        <f>E12*7.5</f>
        <v>2025</v>
      </c>
      <c r="H12" s="13">
        <v>291.38</v>
      </c>
      <c r="I12" s="13">
        <v>5</v>
      </c>
      <c r="J12" s="13">
        <f>I12*2</f>
        <v>10</v>
      </c>
      <c r="K12" s="13">
        <f>I12*1.5</f>
        <v>7.5</v>
      </c>
      <c r="L12" s="12"/>
      <c r="M12" s="43" t="s">
        <v>38</v>
      </c>
      <c r="N12" s="16">
        <f>H25</f>
        <v>2053.2200000000003</v>
      </c>
      <c r="O12" s="16"/>
      <c r="P12" s="16"/>
      <c r="R12" s="12" t="s">
        <v>70</v>
      </c>
      <c r="S12" s="71" t="s">
        <v>63</v>
      </c>
      <c r="T12" s="16">
        <f>(124+26+14+13+15+39+30+19)+12</f>
        <v>292</v>
      </c>
      <c r="U12" s="37">
        <f>T12/T8*100</f>
        <v>5.9026030074975182</v>
      </c>
      <c r="V12" s="39" t="s">
        <v>32</v>
      </c>
    </row>
    <row r="13" spans="1:22">
      <c r="A13" s="17" t="s">
        <v>18</v>
      </c>
      <c r="B13" s="13">
        <v>3</v>
      </c>
      <c r="C13" s="13">
        <v>9.17</v>
      </c>
      <c r="D13" s="13">
        <v>9.17</v>
      </c>
      <c r="E13" s="14">
        <v>168.64</v>
      </c>
      <c r="F13" s="13">
        <f>E13*B13</f>
        <v>505.91999999999996</v>
      </c>
      <c r="G13" s="14">
        <f>E13-9.2</f>
        <v>159.44</v>
      </c>
      <c r="H13" s="13">
        <v>168.64</v>
      </c>
      <c r="I13" s="13">
        <v>3</v>
      </c>
      <c r="J13" s="13">
        <f>I13*3</f>
        <v>9</v>
      </c>
      <c r="K13" s="13">
        <f>I13*2.5</f>
        <v>7.5</v>
      </c>
      <c r="L13" s="12"/>
      <c r="M13" s="42"/>
      <c r="N13" s="35"/>
      <c r="O13" s="16"/>
      <c r="P13" s="16"/>
      <c r="R13" s="12"/>
      <c r="S13" s="71" t="s">
        <v>71</v>
      </c>
      <c r="T13" s="16"/>
      <c r="U13" s="16"/>
      <c r="V13" s="16"/>
    </row>
    <row r="14" spans="1:22" ht="15" customHeight="1">
      <c r="A14" s="17"/>
      <c r="B14" s="13"/>
      <c r="C14" s="13"/>
      <c r="D14" s="13"/>
      <c r="E14" s="14"/>
      <c r="F14" s="13"/>
      <c r="G14" s="14"/>
      <c r="H14" s="13"/>
      <c r="I14" s="13"/>
      <c r="J14" s="13"/>
      <c r="K14" s="13"/>
      <c r="L14" s="12"/>
      <c r="M14" s="43" t="s">
        <v>3</v>
      </c>
      <c r="N14" s="38">
        <f>E25/N8</f>
        <v>0.34813229107918581</v>
      </c>
      <c r="O14" s="39" t="s">
        <v>2</v>
      </c>
      <c r="P14" s="17">
        <v>0.4</v>
      </c>
      <c r="Q14" s="12"/>
      <c r="R14" s="12"/>
      <c r="S14" s="71" t="s">
        <v>64</v>
      </c>
      <c r="T14" s="16">
        <f>114+36+34+84+63+10</f>
        <v>341</v>
      </c>
      <c r="U14" s="37">
        <f>T14/T8*100</f>
        <v>6.8931083067008698</v>
      </c>
      <c r="V14" s="39" t="s">
        <v>32</v>
      </c>
    </row>
    <row r="15" spans="1:22">
      <c r="A15" s="17" t="s">
        <v>19</v>
      </c>
      <c r="B15" s="13">
        <v>2</v>
      </c>
      <c r="C15" s="13">
        <v>5.78</v>
      </c>
      <c r="D15" s="13">
        <v>9.25</v>
      </c>
      <c r="E15" s="14">
        <v>258.92</v>
      </c>
      <c r="F15" s="13">
        <f>E15*B15</f>
        <v>517.84</v>
      </c>
      <c r="G15" s="14">
        <f>E15*7</f>
        <v>1812.44</v>
      </c>
      <c r="H15" s="13">
        <f>134.64+144.9</f>
        <v>279.53999999999996</v>
      </c>
      <c r="I15" s="13">
        <v>5</v>
      </c>
      <c r="J15" s="13">
        <f>I15*2</f>
        <v>10</v>
      </c>
      <c r="K15" s="13">
        <f>I15*1.5</f>
        <v>7.5</v>
      </c>
      <c r="L15" s="12"/>
      <c r="M15" s="43" t="s">
        <v>4</v>
      </c>
      <c r="N15" s="38">
        <f>F25/N8</f>
        <v>0.9025807716642712</v>
      </c>
      <c r="O15" s="39" t="s">
        <v>5</v>
      </c>
      <c r="P15" s="17">
        <v>1.2</v>
      </c>
      <c r="Q15" s="12"/>
      <c r="S15" s="72"/>
      <c r="T15" s="16"/>
      <c r="U15" s="16"/>
      <c r="V15" s="16"/>
    </row>
    <row r="16" spans="1:22">
      <c r="A16" s="17" t="s">
        <v>20</v>
      </c>
      <c r="B16" s="13">
        <v>2</v>
      </c>
      <c r="C16" s="13">
        <v>3.86</v>
      </c>
      <c r="D16" s="15">
        <v>9</v>
      </c>
      <c r="E16" s="14">
        <v>168.64</v>
      </c>
      <c r="F16" s="13">
        <f>E16*B16</f>
        <v>337.28</v>
      </c>
      <c r="G16" s="14">
        <f>E16*7</f>
        <v>1180.48</v>
      </c>
      <c r="H16" s="13">
        <v>220.18</v>
      </c>
      <c r="I16" s="13">
        <v>2</v>
      </c>
      <c r="J16" s="13">
        <f>I16*3</f>
        <v>6</v>
      </c>
      <c r="K16" s="13">
        <f>I16*2.5</f>
        <v>5</v>
      </c>
      <c r="L16" s="12"/>
      <c r="M16" s="43" t="s">
        <v>54</v>
      </c>
      <c r="N16" s="61">
        <f>G25</f>
        <v>13606.859999999999</v>
      </c>
      <c r="O16" s="16"/>
      <c r="P16" s="16"/>
      <c r="Q16" s="12"/>
      <c r="R16" s="12" t="s">
        <v>69</v>
      </c>
      <c r="S16" s="71" t="s">
        <v>65</v>
      </c>
      <c r="T16" s="16">
        <f>47+33+591</f>
        <v>671</v>
      </c>
      <c r="U16" s="37">
        <f>T16/T8*100</f>
        <v>13.563858280927516</v>
      </c>
      <c r="V16" s="39" t="s">
        <v>32</v>
      </c>
    </row>
    <row r="17" spans="1:22" ht="15" customHeight="1">
      <c r="A17" s="17"/>
      <c r="B17" s="13"/>
      <c r="C17" s="13"/>
      <c r="D17" s="13"/>
      <c r="E17" s="14"/>
      <c r="F17" s="13"/>
      <c r="G17" s="14"/>
      <c r="H17" s="13"/>
      <c r="I17" s="13"/>
      <c r="J17" s="13"/>
      <c r="K17" s="13"/>
      <c r="L17" s="12"/>
      <c r="M17" s="44"/>
      <c r="N17" s="27"/>
      <c r="O17" s="27"/>
      <c r="P17" s="27"/>
      <c r="Q17" s="12"/>
      <c r="R17" s="12"/>
      <c r="S17" s="71"/>
      <c r="T17" s="16"/>
      <c r="U17" s="16"/>
      <c r="V17" s="16"/>
    </row>
    <row r="18" spans="1:22">
      <c r="A18" s="17" t="s">
        <v>22</v>
      </c>
      <c r="B18" s="13">
        <v>2</v>
      </c>
      <c r="C18" s="15">
        <v>4.9000000000000004</v>
      </c>
      <c r="D18" s="15">
        <v>9</v>
      </c>
      <c r="E18" s="14">
        <v>154</v>
      </c>
      <c r="F18" s="13">
        <f>E18*B18</f>
        <v>308</v>
      </c>
      <c r="G18" s="14">
        <f>E18*7.3</f>
        <v>1124.2</v>
      </c>
      <c r="H18" s="13">
        <v>186.2</v>
      </c>
      <c r="I18" s="13">
        <v>2</v>
      </c>
      <c r="J18" s="13">
        <f>I18*2</f>
        <v>4</v>
      </c>
      <c r="K18" s="13">
        <f>I18*1.5</f>
        <v>3</v>
      </c>
      <c r="L18" s="12"/>
      <c r="M18" s="45" t="s">
        <v>25</v>
      </c>
      <c r="N18" s="40">
        <f>E32/N8</f>
        <v>0.84237422098779646</v>
      </c>
      <c r="O18" s="27"/>
      <c r="P18" s="27"/>
      <c r="Q18" s="12"/>
      <c r="R18" s="12" t="s">
        <v>67</v>
      </c>
      <c r="S18" s="71" t="s">
        <v>73</v>
      </c>
      <c r="T18" s="16"/>
      <c r="U18" s="16"/>
      <c r="V18" s="16"/>
    </row>
    <row r="19" spans="1:22">
      <c r="A19" s="17" t="s">
        <v>21</v>
      </c>
      <c r="B19" s="13">
        <v>2</v>
      </c>
      <c r="C19" s="15">
        <v>6.2</v>
      </c>
      <c r="D19" s="13">
        <v>8.76</v>
      </c>
      <c r="E19" s="14">
        <v>165</v>
      </c>
      <c r="F19" s="13">
        <f>E19*B19</f>
        <v>330</v>
      </c>
      <c r="G19" s="14">
        <f>E19*7.5</f>
        <v>1237.5</v>
      </c>
      <c r="H19" s="13">
        <f>100.9+77</f>
        <v>177.9</v>
      </c>
      <c r="I19" s="13">
        <v>2</v>
      </c>
      <c r="J19" s="13">
        <f>I19*2</f>
        <v>4</v>
      </c>
      <c r="K19" s="13">
        <f>I19*1.5</f>
        <v>3</v>
      </c>
      <c r="L19" s="12"/>
      <c r="M19" s="46" t="s">
        <v>33</v>
      </c>
      <c r="N19" s="62">
        <f>G32</f>
        <v>21797.61</v>
      </c>
      <c r="O19" s="27"/>
      <c r="P19" s="27"/>
      <c r="Q19" s="12"/>
      <c r="S19" s="71" t="s">
        <v>74</v>
      </c>
      <c r="T19" s="37">
        <f>(E25-T10)+79+19+14</f>
        <v>1128.1999999999998</v>
      </c>
      <c r="U19" s="37">
        <f>T19/T8*100</f>
        <v>22.805879154310613</v>
      </c>
      <c r="V19" s="39" t="s">
        <v>32</v>
      </c>
    </row>
    <row r="20" spans="1:22" ht="15" customHeight="1">
      <c r="A20" s="17"/>
      <c r="B20" s="13"/>
      <c r="C20" s="12"/>
      <c r="D20" s="12"/>
      <c r="E20" s="14"/>
      <c r="F20" s="13"/>
      <c r="G20" s="14"/>
      <c r="H20" s="13"/>
      <c r="I20" s="13"/>
      <c r="J20" s="13"/>
      <c r="K20" s="13"/>
      <c r="L20" s="12"/>
      <c r="M20" s="66"/>
      <c r="N20" s="27"/>
      <c r="O20" s="27"/>
      <c r="P20" s="27"/>
      <c r="Q20" s="12"/>
      <c r="R20" s="12"/>
      <c r="S20" s="69"/>
      <c r="T20" s="69"/>
      <c r="U20" s="69"/>
      <c r="V20" s="69"/>
    </row>
    <row r="21" spans="1:22">
      <c r="A21" s="17" t="s">
        <v>51</v>
      </c>
      <c r="B21" s="13">
        <v>3</v>
      </c>
      <c r="C21" s="13" t="s">
        <v>50</v>
      </c>
      <c r="D21" s="13" t="s">
        <v>50</v>
      </c>
      <c r="E21" s="14">
        <f>21*3</f>
        <v>63</v>
      </c>
      <c r="F21" s="13">
        <f>E21*B21</f>
        <v>189</v>
      </c>
      <c r="G21" s="14">
        <f>E21*B21*2.7</f>
        <v>510.3</v>
      </c>
      <c r="H21" s="13">
        <f>E21</f>
        <v>63</v>
      </c>
      <c r="I21" s="13" t="s">
        <v>50</v>
      </c>
      <c r="J21" s="13" t="s">
        <v>50</v>
      </c>
      <c r="K21" s="13" t="s">
        <v>50</v>
      </c>
      <c r="L21" s="12"/>
      <c r="M21" s="12"/>
      <c r="N21" s="12"/>
      <c r="O21" s="12"/>
      <c r="P21" s="12"/>
      <c r="Q21" s="12"/>
      <c r="R21" s="12"/>
      <c r="S21" s="69" t="s">
        <v>72</v>
      </c>
      <c r="T21" s="73">
        <f>T9+T10+T12+T14+T16+T19</f>
        <v>4946.2</v>
      </c>
      <c r="U21" s="73">
        <f>U9+U10+U12+U14+U16+U19</f>
        <v>99.984434916726798</v>
      </c>
      <c r="V21" s="69" t="s">
        <v>32</v>
      </c>
    </row>
    <row r="22" spans="1:22">
      <c r="A22" s="17" t="s">
        <v>52</v>
      </c>
      <c r="B22" s="13">
        <v>3</v>
      </c>
      <c r="C22" s="13"/>
      <c r="D22" s="13"/>
      <c r="E22" s="14">
        <v>63</v>
      </c>
      <c r="F22" s="13">
        <f t="shared" ref="F22:F23" si="0">E22*B22</f>
        <v>189</v>
      </c>
      <c r="G22" s="14">
        <f t="shared" ref="G22:G23" si="1">E22*B22*2.7</f>
        <v>510.3</v>
      </c>
      <c r="H22" s="13">
        <f t="shared" ref="H22:H23" si="2">E22</f>
        <v>63</v>
      </c>
      <c r="I22" s="13"/>
      <c r="J22" s="13"/>
      <c r="K22" s="13"/>
      <c r="L22" s="12"/>
      <c r="M22" s="12"/>
      <c r="N22" s="12"/>
      <c r="O22" s="12"/>
      <c r="P22" s="12"/>
      <c r="Q22" s="12"/>
      <c r="R22" s="12"/>
      <c r="S22" s="69"/>
      <c r="T22" s="69"/>
      <c r="U22" s="69"/>
      <c r="V22" s="39"/>
    </row>
    <row r="23" spans="1:22">
      <c r="A23" s="17" t="s">
        <v>53</v>
      </c>
      <c r="B23" s="13">
        <v>2</v>
      </c>
      <c r="C23" s="13"/>
      <c r="D23" s="13"/>
      <c r="E23" s="14">
        <v>63</v>
      </c>
      <c r="F23" s="13">
        <f t="shared" si="0"/>
        <v>126</v>
      </c>
      <c r="G23" s="14">
        <f t="shared" si="1"/>
        <v>340.20000000000005</v>
      </c>
      <c r="H23" s="13">
        <f t="shared" si="2"/>
        <v>63</v>
      </c>
      <c r="I23" s="13"/>
      <c r="J23" s="13"/>
      <c r="K23" s="13"/>
      <c r="L23" s="12"/>
      <c r="M23" s="12"/>
      <c r="N23" s="12"/>
      <c r="O23" s="12"/>
      <c r="P23" s="12"/>
      <c r="Q23" s="12"/>
      <c r="R23" s="12"/>
    </row>
    <row r="24" spans="1:22" ht="12" customHeight="1">
      <c r="A24" s="17"/>
      <c r="B24" s="12"/>
      <c r="C24" s="12"/>
      <c r="D24" s="12"/>
      <c r="E24" s="14"/>
      <c r="F24" s="13"/>
      <c r="G24" s="14"/>
      <c r="H24" s="12"/>
      <c r="I24" s="13"/>
      <c r="J24" s="13"/>
      <c r="K24" s="13"/>
      <c r="L24" s="12"/>
      <c r="M24" s="12"/>
      <c r="N24" s="12"/>
      <c r="O24" s="12"/>
      <c r="P24" s="12"/>
      <c r="Q24" s="12"/>
      <c r="R24" s="12"/>
    </row>
    <row r="25" spans="1:22">
      <c r="A25" s="56" t="s">
        <v>8</v>
      </c>
      <c r="B25" s="57"/>
      <c r="C25" s="58"/>
      <c r="D25" s="58"/>
      <c r="E25" s="59">
        <f>E9+E10+E12+E13+E15+E16+E18+E19+E21</f>
        <v>1722.1999999999998</v>
      </c>
      <c r="F25" s="56">
        <f>F9+F10+F12+F13+F15+F16+F18+F19+F21+F22+F23</f>
        <v>4465.04</v>
      </c>
      <c r="G25" s="59">
        <f>G9+G10+G12+G13+G15+G16+G18+G19+G21+G22+G23</f>
        <v>13606.859999999999</v>
      </c>
      <c r="H25" s="57">
        <f>H9+H10+H12+H13+H15+H16+H18+H19+H21+H22+H23</f>
        <v>2053.2200000000003</v>
      </c>
      <c r="I25" s="56">
        <f>I9+I10+I12+I13+I15+I16+I18+I19</f>
        <v>33</v>
      </c>
      <c r="J25" s="56">
        <f>(J9+J10+J12+J13+J15+J16+J18+J19)-5</f>
        <v>66</v>
      </c>
      <c r="K25" s="56">
        <f>K9+K10+K12+K13+K15+K16+K18+K19</f>
        <v>54.5</v>
      </c>
      <c r="L25" s="12"/>
      <c r="M25" s="12"/>
      <c r="N25" s="12"/>
      <c r="O25" s="12"/>
      <c r="P25" s="12"/>
      <c r="Q25" s="12"/>
      <c r="R25" s="12"/>
    </row>
    <row r="26" spans="1:22" ht="14.25" customHeight="1">
      <c r="A26" s="26"/>
      <c r="B26" s="12"/>
      <c r="C26" s="12"/>
      <c r="D26" s="12"/>
      <c r="E26" s="14"/>
      <c r="F26" s="12"/>
      <c r="G26" s="14"/>
      <c r="H26" s="12"/>
      <c r="I26" s="13"/>
      <c r="J26" s="12"/>
      <c r="K26" s="12"/>
      <c r="L26" s="12"/>
      <c r="M26" s="12"/>
      <c r="N26" s="12"/>
      <c r="O26" s="12"/>
      <c r="P26" s="12"/>
      <c r="Q26" s="12"/>
      <c r="R26" s="12"/>
    </row>
    <row r="27" spans="1:22" ht="27">
      <c r="A27" s="64" t="s">
        <v>58</v>
      </c>
      <c r="B27" s="13">
        <v>1</v>
      </c>
      <c r="C27" s="13" t="s">
        <v>50</v>
      </c>
      <c r="D27" s="13" t="s">
        <v>50</v>
      </c>
      <c r="E27" s="13">
        <v>1840</v>
      </c>
      <c r="F27" s="13" t="s">
        <v>50</v>
      </c>
      <c r="G27" s="13">
        <f>E27*3.35</f>
        <v>6164</v>
      </c>
      <c r="H27" s="13" t="s">
        <v>50</v>
      </c>
      <c r="I27" s="13" t="s">
        <v>50</v>
      </c>
      <c r="J27" s="13" t="s">
        <v>50</v>
      </c>
      <c r="K27" s="13" t="s">
        <v>50</v>
      </c>
      <c r="L27" s="12"/>
      <c r="M27" s="12"/>
      <c r="N27" s="12"/>
      <c r="O27" s="12"/>
      <c r="P27" s="12"/>
      <c r="Q27" s="12"/>
      <c r="R27" s="12"/>
    </row>
    <row r="28" spans="1:22">
      <c r="A28" s="26" t="s">
        <v>55</v>
      </c>
      <c r="B28" s="13">
        <v>1</v>
      </c>
      <c r="C28" s="13" t="s">
        <v>50</v>
      </c>
      <c r="D28" s="13" t="s">
        <v>50</v>
      </c>
      <c r="E28" s="14">
        <f>196+122+135</f>
        <v>453</v>
      </c>
      <c r="F28" s="13" t="s">
        <v>50</v>
      </c>
      <c r="G28" s="14">
        <f t="shared" ref="G28:G30" si="3">E28*3.35</f>
        <v>1517.55</v>
      </c>
      <c r="H28" s="13" t="s">
        <v>50</v>
      </c>
      <c r="I28" s="13" t="s">
        <v>50</v>
      </c>
      <c r="J28" s="13" t="s">
        <v>50</v>
      </c>
      <c r="K28" s="13" t="s">
        <v>50</v>
      </c>
      <c r="L28" s="12"/>
      <c r="M28" s="12"/>
      <c r="N28" s="12"/>
      <c r="O28" s="12"/>
      <c r="P28" s="12"/>
      <c r="Q28" s="12"/>
      <c r="R28" s="12"/>
    </row>
    <row r="29" spans="1:22">
      <c r="A29" s="26" t="s">
        <v>56</v>
      </c>
      <c r="B29" s="13">
        <v>1</v>
      </c>
      <c r="C29" s="13" t="s">
        <v>50</v>
      </c>
      <c r="D29" s="13" t="s">
        <v>50</v>
      </c>
      <c r="E29" s="14">
        <f>85+30+37</f>
        <v>152</v>
      </c>
      <c r="F29" s="13" t="s">
        <v>50</v>
      </c>
      <c r="G29" s="14">
        <f t="shared" si="3"/>
        <v>509.2</v>
      </c>
      <c r="H29" s="13" t="s">
        <v>50</v>
      </c>
      <c r="I29" s="13" t="s">
        <v>50</v>
      </c>
      <c r="J29" s="13" t="s">
        <v>50</v>
      </c>
      <c r="K29" s="13" t="s">
        <v>50</v>
      </c>
      <c r="L29" s="12"/>
      <c r="M29" s="12"/>
      <c r="N29" s="12"/>
      <c r="O29" s="12"/>
      <c r="P29" s="12"/>
      <c r="Q29" s="12"/>
      <c r="R29" s="12"/>
    </row>
    <row r="30" spans="1:22">
      <c r="A30" s="26" t="s">
        <v>57</v>
      </c>
      <c r="B30" s="13"/>
      <c r="C30" s="13"/>
      <c r="D30" s="13"/>
      <c r="E30" s="14">
        <f>E27+E28+E29</f>
        <v>2445</v>
      </c>
      <c r="F30" s="13"/>
      <c r="G30" s="14">
        <f t="shared" si="3"/>
        <v>8190.75</v>
      </c>
      <c r="H30" s="13"/>
      <c r="I30" s="13"/>
      <c r="J30" s="13"/>
      <c r="K30" s="13"/>
      <c r="L30" s="12"/>
      <c r="M30" s="12"/>
      <c r="N30" s="12"/>
      <c r="O30" s="12"/>
      <c r="P30" s="12"/>
      <c r="Q30" s="12"/>
      <c r="R30" s="12"/>
    </row>
    <row r="31" spans="1:22" ht="15" customHeight="1">
      <c r="A31" s="63"/>
      <c r="B31" s="12"/>
      <c r="C31" s="12"/>
      <c r="D31" s="12"/>
      <c r="E31" s="14"/>
      <c r="F31" s="12"/>
      <c r="G31" s="14"/>
      <c r="H31" s="12"/>
      <c r="I31" s="13"/>
      <c r="J31" s="12"/>
      <c r="K31" s="12"/>
      <c r="L31" s="12"/>
      <c r="M31" s="12"/>
      <c r="N31" s="12"/>
      <c r="O31" s="12"/>
      <c r="P31" s="12"/>
      <c r="Q31" s="12"/>
      <c r="R31" s="12"/>
    </row>
    <row r="32" spans="1:22">
      <c r="A32" s="52" t="s">
        <v>59</v>
      </c>
      <c r="B32" s="53"/>
      <c r="C32" s="53"/>
      <c r="D32" s="53"/>
      <c r="E32" s="54">
        <f>E25+E30</f>
        <v>4167.2</v>
      </c>
      <c r="F32" s="53"/>
      <c r="G32" s="54">
        <f>G9+G10+G12+G13+G15+G16+G18+G19+G21++G22+G23+G30</f>
        <v>21797.61</v>
      </c>
      <c r="H32" s="53"/>
      <c r="I32" s="55"/>
      <c r="J32" s="53"/>
      <c r="K32" s="53"/>
      <c r="L32" s="12"/>
      <c r="M32" s="12"/>
      <c r="N32" s="12"/>
      <c r="O32" s="12"/>
      <c r="P32" s="12"/>
      <c r="Q32" s="12"/>
      <c r="R32" s="12"/>
    </row>
    <row r="33" spans="1:22">
      <c r="A33" s="12"/>
      <c r="B33" s="12"/>
      <c r="C33" s="12"/>
      <c r="D33" s="12"/>
      <c r="E33" s="12"/>
      <c r="F33" s="12"/>
      <c r="G33" s="12"/>
      <c r="H33" s="12"/>
      <c r="I33" s="13"/>
      <c r="J33" s="12"/>
      <c r="K33" s="12"/>
      <c r="L33" s="12"/>
      <c r="M33" s="12"/>
      <c r="N33" s="12"/>
      <c r="O33" s="12"/>
      <c r="P33" s="12"/>
      <c r="Q33" s="12"/>
      <c r="R33" s="12"/>
    </row>
    <row r="34" spans="1:22" ht="28.5" customHeight="1">
      <c r="A34" s="20" t="s">
        <v>47</v>
      </c>
      <c r="B34" s="18"/>
      <c r="C34" s="12"/>
      <c r="D34" s="12"/>
      <c r="E34" s="18"/>
      <c r="F34" s="18"/>
      <c r="G34" s="18"/>
      <c r="H34" s="12"/>
      <c r="I34" s="19"/>
      <c r="J34" s="12"/>
      <c r="K34" s="12"/>
      <c r="L34" s="18"/>
      <c r="M34" s="12"/>
      <c r="N34" s="12"/>
      <c r="O34" s="12"/>
      <c r="P34" s="12"/>
      <c r="Q34" s="12"/>
      <c r="R34" s="12"/>
      <c r="S34" t="s">
        <v>61</v>
      </c>
    </row>
    <row r="35" spans="1:22" ht="45" customHeight="1">
      <c r="A35" s="47" t="s">
        <v>0</v>
      </c>
      <c r="B35" s="47" t="s">
        <v>34</v>
      </c>
      <c r="C35" s="47" t="s">
        <v>28</v>
      </c>
      <c r="D35" s="47" t="s">
        <v>29</v>
      </c>
      <c r="E35" s="47" t="s">
        <v>9</v>
      </c>
      <c r="F35" s="47" t="s">
        <v>12</v>
      </c>
      <c r="G35" s="47" t="s">
        <v>1</v>
      </c>
      <c r="H35" s="47" t="s">
        <v>39</v>
      </c>
      <c r="I35" s="47" t="s">
        <v>6</v>
      </c>
      <c r="J35" s="47" t="s">
        <v>48</v>
      </c>
      <c r="K35" s="12"/>
      <c r="L35" s="12"/>
      <c r="M35" s="30" t="s">
        <v>30</v>
      </c>
      <c r="N35" s="32">
        <v>1336.54</v>
      </c>
      <c r="O35" s="33"/>
      <c r="P35" s="33"/>
      <c r="Q35" s="12"/>
      <c r="R35" s="12"/>
      <c r="S35" s="74" t="s">
        <v>35</v>
      </c>
      <c r="T35" s="77">
        <v>1336.54</v>
      </c>
      <c r="U35" s="77">
        <v>100</v>
      </c>
      <c r="V35" s="77" t="s">
        <v>32</v>
      </c>
    </row>
    <row r="36" spans="1:22">
      <c r="A36" s="28" t="s">
        <v>15</v>
      </c>
      <c r="B36" s="14">
        <v>2</v>
      </c>
      <c r="C36" s="15">
        <v>5</v>
      </c>
      <c r="D36" s="13">
        <v>9.25</v>
      </c>
      <c r="E36" s="13">
        <v>308.81</v>
      </c>
      <c r="F36" s="15">
        <f>E36*6.2</f>
        <v>1914.6220000000001</v>
      </c>
      <c r="G36" s="13">
        <f>E36*B36</f>
        <v>617.62</v>
      </c>
      <c r="H36" s="14">
        <v>351.82</v>
      </c>
      <c r="I36" s="13">
        <v>3</v>
      </c>
      <c r="J36" s="13">
        <v>17</v>
      </c>
      <c r="K36" s="12"/>
      <c r="L36" s="12"/>
      <c r="M36" s="31" t="s">
        <v>26</v>
      </c>
      <c r="N36" s="28">
        <f>266.51+18.52+4.7+13+51.48</f>
        <v>354.21</v>
      </c>
      <c r="O36" s="68">
        <f>N36*100/N35</f>
        <v>26.502012659553774</v>
      </c>
      <c r="P36" s="33" t="s">
        <v>32</v>
      </c>
      <c r="Q36" s="12"/>
      <c r="R36" s="12" t="s">
        <v>68</v>
      </c>
      <c r="S36" s="75" t="s">
        <v>62</v>
      </c>
      <c r="T36" s="77">
        <f>324+26+7+8+13</f>
        <v>378</v>
      </c>
      <c r="U36" s="80">
        <f>T36/T35*100</f>
        <v>28.281981833689979</v>
      </c>
      <c r="V36" s="77" t="s">
        <v>32</v>
      </c>
    </row>
    <row r="37" spans="1:22">
      <c r="A37" s="28" t="s">
        <v>16</v>
      </c>
      <c r="B37" s="14">
        <v>1</v>
      </c>
      <c r="C37" s="15">
        <v>3.7</v>
      </c>
      <c r="D37" s="15">
        <v>3.7</v>
      </c>
      <c r="E37" s="13">
        <v>95</v>
      </c>
      <c r="F37" s="13">
        <f>E37*3.6</f>
        <v>342</v>
      </c>
      <c r="G37" s="13">
        <f>E37*B37</f>
        <v>95</v>
      </c>
      <c r="H37" s="13">
        <v>95</v>
      </c>
      <c r="I37" s="12"/>
      <c r="J37" s="13">
        <v>4</v>
      </c>
      <c r="K37" s="12"/>
      <c r="L37" s="12"/>
      <c r="M37" s="31" t="s">
        <v>31</v>
      </c>
      <c r="N37" s="28">
        <f>N35-N36</f>
        <v>982.32999999999993</v>
      </c>
      <c r="O37" s="68">
        <f>N37*100/N35</f>
        <v>73.49798734044623</v>
      </c>
      <c r="P37" s="33" t="s">
        <v>32</v>
      </c>
      <c r="Q37" s="12"/>
      <c r="R37" s="12"/>
      <c r="S37" s="75" t="s">
        <v>66</v>
      </c>
      <c r="T37" s="77">
        <v>84</v>
      </c>
      <c r="U37" s="80">
        <f>T37/T35*100</f>
        <v>6.2848848519311069</v>
      </c>
      <c r="V37" s="77" t="s">
        <v>32</v>
      </c>
    </row>
    <row r="38" spans="1:22">
      <c r="A38" s="28"/>
      <c r="B38" s="14"/>
      <c r="C38" s="13"/>
      <c r="D38" s="13"/>
      <c r="E38" s="13"/>
      <c r="F38" s="13"/>
      <c r="G38" s="13"/>
      <c r="H38" s="12"/>
      <c r="I38" s="12"/>
      <c r="J38" s="13"/>
      <c r="K38" s="12"/>
      <c r="L38" s="12"/>
      <c r="M38" s="31" t="s">
        <v>27</v>
      </c>
      <c r="N38" s="28">
        <f>H43</f>
        <v>446.82</v>
      </c>
      <c r="O38" s="33"/>
      <c r="P38" s="33"/>
      <c r="Q38" s="12"/>
      <c r="R38" s="12"/>
      <c r="S38" s="76"/>
      <c r="T38" s="77"/>
      <c r="U38" s="80"/>
      <c r="V38" s="77"/>
    </row>
    <row r="39" spans="1:22" ht="15" customHeight="1">
      <c r="A39" s="28" t="s">
        <v>60</v>
      </c>
      <c r="B39" s="14">
        <v>1</v>
      </c>
      <c r="C39" s="14" t="s">
        <v>50</v>
      </c>
      <c r="D39" s="14" t="s">
        <v>50</v>
      </c>
      <c r="E39" s="13">
        <v>571</v>
      </c>
      <c r="F39" s="13">
        <f>E39*2.7</f>
        <v>1541.7</v>
      </c>
      <c r="G39" s="13" t="s">
        <v>50</v>
      </c>
      <c r="H39" s="13" t="s">
        <v>50</v>
      </c>
      <c r="I39" s="13" t="s">
        <v>50</v>
      </c>
      <c r="J39" s="13" t="s">
        <v>50</v>
      </c>
      <c r="K39" s="12"/>
      <c r="L39" s="12"/>
      <c r="M39" s="31" t="s">
        <v>3</v>
      </c>
      <c r="N39" s="34">
        <f>E43/N35</f>
        <v>0.30213087524503568</v>
      </c>
      <c r="O39" s="33"/>
      <c r="P39" s="33"/>
      <c r="Q39" s="12"/>
      <c r="R39" s="12" t="s">
        <v>70</v>
      </c>
      <c r="S39" s="75" t="s">
        <v>63</v>
      </c>
      <c r="T39" s="77">
        <f>45+50</f>
        <v>95</v>
      </c>
      <c r="U39" s="80">
        <f>T39/T35*100</f>
        <v>7.1079054873030358</v>
      </c>
      <c r="V39" s="77" t="s">
        <v>32</v>
      </c>
    </row>
    <row r="40" spans="1:22" ht="15" customHeight="1">
      <c r="A40" s="28" t="s">
        <v>55</v>
      </c>
      <c r="B40" s="14">
        <v>1</v>
      </c>
      <c r="C40" s="14" t="s">
        <v>50</v>
      </c>
      <c r="D40" s="14" t="s">
        <v>50</v>
      </c>
      <c r="E40" s="13">
        <v>63</v>
      </c>
      <c r="F40" s="13">
        <f t="shared" ref="F40:F41" si="4">E40*2.7</f>
        <v>170.10000000000002</v>
      </c>
      <c r="G40" s="13" t="s">
        <v>50</v>
      </c>
      <c r="H40" s="13" t="s">
        <v>50</v>
      </c>
      <c r="I40" s="13" t="s">
        <v>50</v>
      </c>
      <c r="J40" s="13" t="s">
        <v>50</v>
      </c>
      <c r="K40" s="12"/>
      <c r="L40" s="12"/>
      <c r="M40" s="31" t="s">
        <v>4</v>
      </c>
      <c r="N40" s="34">
        <f>G43/N35</f>
        <v>0.53318269561704101</v>
      </c>
      <c r="O40" s="33"/>
      <c r="P40" s="33"/>
      <c r="Q40" s="12"/>
      <c r="R40" s="12"/>
      <c r="S40" s="75"/>
      <c r="T40" s="77"/>
      <c r="U40" s="80"/>
      <c r="V40" s="77"/>
    </row>
    <row r="41" spans="1:22" ht="15" customHeight="1">
      <c r="A41" s="28" t="s">
        <v>56</v>
      </c>
      <c r="B41" s="14">
        <v>1</v>
      </c>
      <c r="C41" s="14" t="s">
        <v>50</v>
      </c>
      <c r="D41" s="14" t="s">
        <v>50</v>
      </c>
      <c r="E41" s="13">
        <v>11</v>
      </c>
      <c r="F41" s="13">
        <f t="shared" si="4"/>
        <v>29.700000000000003</v>
      </c>
      <c r="G41" s="13" t="s">
        <v>50</v>
      </c>
      <c r="H41" s="13" t="s">
        <v>50</v>
      </c>
      <c r="I41" s="13" t="s">
        <v>50</v>
      </c>
      <c r="J41" s="13" t="s">
        <v>50</v>
      </c>
      <c r="K41" s="12"/>
      <c r="L41" s="12"/>
      <c r="M41" s="31" t="s">
        <v>7</v>
      </c>
      <c r="N41" s="34">
        <f>F43</f>
        <v>3998.1219999999998</v>
      </c>
      <c r="O41" s="33"/>
      <c r="P41" s="33"/>
      <c r="Q41" s="12"/>
      <c r="R41" s="12"/>
      <c r="S41" s="75" t="s">
        <v>64</v>
      </c>
      <c r="T41" s="79" t="s">
        <v>50</v>
      </c>
      <c r="U41" s="81" t="s">
        <v>50</v>
      </c>
      <c r="V41" s="77" t="s">
        <v>32</v>
      </c>
    </row>
    <row r="42" spans="1:22">
      <c r="A42" s="28"/>
      <c r="B42" s="12"/>
      <c r="C42" s="12"/>
      <c r="D42" s="12"/>
      <c r="E42" s="13"/>
      <c r="F42" s="13"/>
      <c r="G42" s="13"/>
      <c r="H42" s="12"/>
      <c r="I42" s="12"/>
      <c r="J42" s="13"/>
      <c r="K42" s="12"/>
      <c r="L42" s="12"/>
      <c r="M42" s="67"/>
      <c r="N42" s="65"/>
      <c r="O42" s="33"/>
      <c r="P42" s="33"/>
      <c r="Q42" s="12"/>
      <c r="S42" s="76"/>
      <c r="T42" s="77"/>
      <c r="U42" s="80"/>
      <c r="V42" s="77"/>
    </row>
    <row r="43" spans="1:22" ht="15" customHeight="1">
      <c r="A43" s="48" t="s">
        <v>8</v>
      </c>
      <c r="B43" s="29"/>
      <c r="C43" s="29"/>
      <c r="D43" s="29"/>
      <c r="E43" s="48">
        <f>E36+E37+E38</f>
        <v>403.81</v>
      </c>
      <c r="F43" s="49">
        <f>F36+F37+F39+F40+F41</f>
        <v>3998.1219999999998</v>
      </c>
      <c r="G43" s="48">
        <f>G36+G37+G38</f>
        <v>712.62</v>
      </c>
      <c r="H43" s="48">
        <f>H36+H37</f>
        <v>446.82</v>
      </c>
      <c r="I43" s="50"/>
      <c r="J43" s="48">
        <v>21</v>
      </c>
      <c r="K43" s="12"/>
      <c r="L43" s="12"/>
      <c r="O43" s="12"/>
      <c r="P43" s="12"/>
      <c r="Q43" s="12"/>
      <c r="R43" s="12" t="s">
        <v>69</v>
      </c>
      <c r="S43" s="75" t="s">
        <v>65</v>
      </c>
      <c r="T43" s="77">
        <v>401</v>
      </c>
      <c r="U43" s="80">
        <f>T43/T35*100</f>
        <v>30.002843162194921</v>
      </c>
      <c r="V43" s="77" t="s">
        <v>32</v>
      </c>
    </row>
    <row r="44" spans="1:22">
      <c r="R44" s="12"/>
      <c r="S44" s="75"/>
      <c r="T44" s="77"/>
      <c r="U44" s="80"/>
      <c r="V44" s="77"/>
    </row>
    <row r="45" spans="1:2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 t="s">
        <v>67</v>
      </c>
      <c r="S45" s="75" t="s">
        <v>73</v>
      </c>
      <c r="T45" s="77"/>
      <c r="U45" s="80"/>
      <c r="V45" s="77" t="s">
        <v>32</v>
      </c>
    </row>
    <row r="46" spans="1:22">
      <c r="S46" s="75" t="s">
        <v>74</v>
      </c>
      <c r="T46" s="77">
        <f>309+69</f>
        <v>378</v>
      </c>
      <c r="U46" s="80">
        <f>T46/T35*100</f>
        <v>28.281981833689979</v>
      </c>
      <c r="V46" s="77" t="s">
        <v>32</v>
      </c>
    </row>
    <row r="47" spans="1:22">
      <c r="R47" s="12"/>
      <c r="S47" s="65"/>
      <c r="T47" s="77"/>
      <c r="U47" s="77"/>
      <c r="V47" s="77"/>
    </row>
    <row r="48" spans="1:22">
      <c r="R48" s="12"/>
      <c r="S48" s="65" t="s">
        <v>72</v>
      </c>
      <c r="T48" s="77">
        <f>T36+T37+T39+T43+T46</f>
        <v>1336</v>
      </c>
      <c r="U48" s="80">
        <f>U36+U37+U39+U43+U46</f>
        <v>99.959597168809026</v>
      </c>
      <c r="V48" s="77" t="s">
        <v>32</v>
      </c>
    </row>
    <row r="49" spans="1:22">
      <c r="R49" s="12"/>
      <c r="S49" s="65"/>
      <c r="T49" s="77"/>
      <c r="U49" s="77"/>
      <c r="V49" s="77"/>
    </row>
    <row r="51" spans="1:22">
      <c r="A51" s="1"/>
      <c r="B51" s="1"/>
      <c r="C51" s="1"/>
      <c r="D51" s="1"/>
      <c r="E51" s="1"/>
      <c r="F51" s="2"/>
    </row>
    <row r="53" spans="1:22">
      <c r="K53" s="1"/>
      <c r="L53" s="3"/>
    </row>
    <row r="54" spans="1:22">
      <c r="K54" s="1"/>
      <c r="L54" s="3"/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4C9A12C3C222498D40918974D62A97" ma:contentTypeVersion="13" ma:contentTypeDescription="Ein neues Dokument erstellen." ma:contentTypeScope="" ma:versionID="7b1e1f53e5e7b1282903eea203985ce1">
  <xsd:schema xmlns:xsd="http://www.w3.org/2001/XMLSchema" xmlns:xs="http://www.w3.org/2001/XMLSchema" xmlns:p="http://schemas.microsoft.com/office/2006/metadata/properties" xmlns:ns2="70df8e43-f616-4682-8ae5-de83b2675f09" xmlns:ns3="d46d6f3e-b141-4014-ad8d-44118fddb84a" targetNamespace="http://schemas.microsoft.com/office/2006/metadata/properties" ma:root="true" ma:fieldsID="1b048f2c0dd51ceed6be3371d7e674da" ns2:_="" ns3:_="">
    <xsd:import namespace="70df8e43-f616-4682-8ae5-de83b2675f09"/>
    <xsd:import namespace="d46d6f3e-b141-4014-ad8d-44118fddb8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df8e43-f616-4682-8ae5-de83b2675f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ildmarkierungen" ma:readOnly="false" ma:fieldId="{5cf76f15-5ced-4ddc-b409-7134ff3c332f}" ma:taxonomyMulti="true" ma:sspId="efea1572-4aa3-48f4-ba67-f917a511629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6d6f3e-b141-4014-ad8d-44118fddb84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4fe6773-d0aa-421f-b7db-81204ac74e5b}" ma:internalName="TaxCatchAll" ma:showField="CatchAllData" ma:web="d46d6f3e-b141-4014-ad8d-44118fddb8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70df8e43-f616-4682-8ae5-de83b2675f09" xsi:nil="true"/>
    <TaxCatchAll xmlns="d46d6f3e-b141-4014-ad8d-44118fddb84a" xsi:nil="true"/>
    <lcf76f155ced4ddcb4097134ff3c332f xmlns="70df8e43-f616-4682-8ae5-de83b2675f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3BCD9F-BDBD-4971-A12C-22FCC68EFBA6}"/>
</file>

<file path=customXml/itemProps2.xml><?xml version="1.0" encoding="utf-8"?>
<ds:datastoreItem xmlns:ds="http://schemas.openxmlformats.org/officeDocument/2006/customXml" ds:itemID="{958C5654-E5B8-4C44-9949-D1A5E5F98FDA}"/>
</file>

<file path=customXml/itemProps3.xml><?xml version="1.0" encoding="utf-8"?>
<ds:datastoreItem xmlns:ds="http://schemas.openxmlformats.org/officeDocument/2006/customXml" ds:itemID="{1897B793-7046-4647-9A06-B182830EE6D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soehn</dc:creator>
  <cp:lastModifiedBy>soehner@lka-ka.de</cp:lastModifiedBy>
  <cp:lastPrinted>2023-07-20T14:58:41Z</cp:lastPrinted>
  <dcterms:created xsi:type="dcterms:W3CDTF">2023-02-28T08:40:22Z</dcterms:created>
  <dcterms:modified xsi:type="dcterms:W3CDTF">2024-03-19T11:56:19Z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1740800</vt:r8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ContentTypeId">
    <vt:lpwstr>0x010100DE4C9A12C3C222498D40918974D62A97</vt:lpwstr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xd_Signature">
    <vt:bool>false</vt:bool>
  </property>
</Properties>
</file>